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z.Chapman\Documents\E Chapman Ltd\Clearways Accountants\Calculators and accounts spreadsheet\"/>
    </mc:Choice>
  </mc:AlternateContent>
  <workbookProtection workbookPassword="8FCF" lockStructure="1"/>
  <bookViews>
    <workbookView xWindow="480" yWindow="120" windowWidth="15480" windowHeight="10545"/>
  </bookViews>
  <sheets>
    <sheet name="Summary" sheetId="4" r:id="rId1"/>
    <sheet name="tax split" sheetId="1" r:id="rId2"/>
    <sheet name="calculation sheet" sheetId="2" state="hidden" r:id="rId3"/>
    <sheet name="base data" sheetId="3" state="hidden" r:id="rId4"/>
  </sheets>
  <definedNames>
    <definedName name="Income">Summary!$C$11</definedName>
  </definedNames>
  <calcPr calcId="152511"/>
</workbook>
</file>

<file path=xl/calcChain.xml><?xml version="1.0" encoding="utf-8"?>
<calcChain xmlns="http://schemas.openxmlformats.org/spreadsheetml/2006/main">
  <c r="C7" i="3" l="1"/>
  <c r="C7" i="2"/>
  <c r="D13" i="4" l="1"/>
  <c r="C163" i="2" l="1"/>
  <c r="C157" i="2"/>
  <c r="C140" i="2"/>
  <c r="C131" i="2"/>
  <c r="C138" i="2" s="1"/>
  <c r="C130" i="2"/>
  <c r="C156" i="2" l="1"/>
  <c r="C158" i="2" s="1"/>
  <c r="C160" i="2" s="1"/>
  <c r="C132" i="2" s="1"/>
  <c r="C29" i="2"/>
  <c r="C133" i="2" l="1"/>
  <c r="C134" i="2" s="1"/>
  <c r="C42" i="1" s="1"/>
  <c r="C41" i="1"/>
  <c r="C162" i="2"/>
  <c r="C164" i="2" s="1"/>
  <c r="C166" i="2" s="1"/>
  <c r="C40" i="1" s="1"/>
  <c r="C92" i="2"/>
  <c r="C60" i="2"/>
  <c r="C135" i="2" l="1"/>
  <c r="C137" i="2" s="1"/>
  <c r="C139" i="2" s="1"/>
  <c r="C141" i="2" s="1"/>
  <c r="C10" i="2"/>
  <c r="C25" i="2"/>
  <c r="C37" i="2"/>
  <c r="C21" i="1" s="1"/>
  <c r="C22" i="1" s="1"/>
  <c r="D16" i="4" s="1"/>
  <c r="C40" i="2"/>
  <c r="C59" i="2"/>
  <c r="C98" i="2"/>
  <c r="C100" i="2" s="1"/>
  <c r="C11" i="2"/>
  <c r="C26" i="2"/>
  <c r="C13" i="1"/>
  <c r="C45" i="2"/>
  <c r="C85" i="2"/>
  <c r="C91" i="2" s="1"/>
  <c r="C93" i="2" s="1"/>
  <c r="C95" i="2" s="1"/>
  <c r="C86" i="2"/>
  <c r="C67" i="2"/>
  <c r="C69" i="2"/>
  <c r="C106" i="2"/>
  <c r="C121" i="2"/>
  <c r="C59" i="3"/>
  <c r="C60" i="3"/>
  <c r="C62" i="3"/>
  <c r="C145" i="2" l="1"/>
  <c r="C150" i="2" s="1"/>
  <c r="C142" i="2"/>
  <c r="C49" i="1"/>
  <c r="C12" i="2"/>
  <c r="C13" i="2" s="1"/>
  <c r="C27" i="2"/>
  <c r="C30" i="2" s="1"/>
  <c r="C87" i="2"/>
  <c r="C33" i="1" s="1"/>
  <c r="C41" i="2"/>
  <c r="C28" i="1" s="1"/>
  <c r="C31" i="2"/>
  <c r="C148" i="2" l="1"/>
  <c r="C153" i="2" s="1"/>
  <c r="C146" i="2"/>
  <c r="C151" i="2" s="1"/>
  <c r="C99" i="2"/>
  <c r="C101" i="2" s="1"/>
  <c r="C102" i="2" s="1"/>
  <c r="C14" i="1"/>
  <c r="C89" i="2"/>
  <c r="C61" i="2" s="1"/>
  <c r="C62" i="2" s="1"/>
  <c r="C42" i="2"/>
  <c r="C44" i="2" s="1"/>
  <c r="C46" i="2" s="1"/>
  <c r="C16" i="2"/>
  <c r="C21" i="2" s="1"/>
  <c r="C18" i="2"/>
  <c r="C23" i="2" s="1"/>
  <c r="C20" i="2"/>
  <c r="C147" i="2" l="1"/>
  <c r="C152" i="2" s="1"/>
  <c r="C39" i="1" s="1"/>
  <c r="C105" i="2"/>
  <c r="C107" i="2" s="1"/>
  <c r="C108" i="2" s="1"/>
  <c r="C50" i="1"/>
  <c r="C34" i="1"/>
  <c r="C47" i="2"/>
  <c r="C52" i="2" s="1"/>
  <c r="C56" i="2" s="1"/>
  <c r="C63" i="2"/>
  <c r="C35" i="1" s="1"/>
  <c r="C17" i="2"/>
  <c r="C120" i="2" l="1"/>
  <c r="C122" i="2" s="1"/>
  <c r="C124" i="2" s="1"/>
  <c r="C22" i="2"/>
  <c r="C12" i="1" s="1"/>
  <c r="C15" i="1" s="1"/>
  <c r="D15" i="4" s="1"/>
  <c r="C50" i="2"/>
  <c r="C111" i="2"/>
  <c r="C116" i="2" s="1"/>
  <c r="C113" i="2"/>
  <c r="C118" i="2" s="1"/>
  <c r="C115" i="2"/>
  <c r="C64" i="2"/>
  <c r="C66" i="2" s="1"/>
  <c r="C68" i="2" s="1"/>
  <c r="C125" i="2" l="1"/>
  <c r="C48" i="1" s="1"/>
  <c r="C51" i="2"/>
  <c r="C55" i="2" s="1"/>
  <c r="C54" i="2"/>
  <c r="C112" i="2"/>
  <c r="C117" i="2" s="1"/>
  <c r="C47" i="1" s="1"/>
  <c r="C70" i="2"/>
  <c r="C25" i="1" l="1"/>
  <c r="C29" i="1" s="1"/>
  <c r="D17" i="4" s="1"/>
  <c r="C79" i="2"/>
  <c r="C74" i="2"/>
  <c r="C43" i="1"/>
  <c r="D19" i="4" s="1"/>
  <c r="C71" i="2"/>
  <c r="C51" i="1"/>
  <c r="D20" i="4" s="1"/>
  <c r="C77" i="2" l="1"/>
  <c r="C82" i="2" s="1"/>
  <c r="C75" i="2"/>
  <c r="C76" i="2" l="1"/>
  <c r="C81" i="2" s="1"/>
  <c r="C80" i="2"/>
  <c r="C32" i="1" l="1"/>
  <c r="C36" i="1" s="1"/>
  <c r="D18" i="4" s="1"/>
</calcChain>
</file>

<file path=xl/sharedStrings.xml><?xml version="1.0" encoding="utf-8"?>
<sst xmlns="http://schemas.openxmlformats.org/spreadsheetml/2006/main" count="218" uniqueCount="110">
  <si>
    <t>ec accountancy</t>
  </si>
  <si>
    <t>tax calculator</t>
  </si>
  <si>
    <t>Income</t>
  </si>
  <si>
    <t>Results by tax year</t>
  </si>
  <si>
    <t>Sole trader</t>
  </si>
  <si>
    <t xml:space="preserve"> - Class 2 NIC</t>
  </si>
  <si>
    <t xml:space="preserve"> - Class 4 NIC</t>
  </si>
  <si>
    <t xml:space="preserve"> - TOTAL TAXES</t>
  </si>
  <si>
    <t xml:space="preserve"> - Income tax</t>
  </si>
  <si>
    <t xml:space="preserve"> - Corporation tax</t>
  </si>
  <si>
    <t xml:space="preserve"> - Class 1 employee NIC</t>
  </si>
  <si>
    <t xml:space="preserve"> - Class 1 employer NIC</t>
  </si>
  <si>
    <t>Company paying maximum salary</t>
  </si>
  <si>
    <t>base data</t>
  </si>
  <si>
    <t>Income tax rates</t>
  </si>
  <si>
    <t xml:space="preserve"> - Starting rate</t>
  </si>
  <si>
    <t xml:space="preserve"> - Basic rate</t>
  </si>
  <si>
    <t xml:space="preserve"> - Higher rate</t>
  </si>
  <si>
    <t xml:space="preserve"> - Dividend higher rate</t>
  </si>
  <si>
    <t>Company rates</t>
  </si>
  <si>
    <t xml:space="preserve"> - Small company rates</t>
  </si>
  <si>
    <t>National Insurance rates</t>
  </si>
  <si>
    <t xml:space="preserve"> - Class 1 employees</t>
  </si>
  <si>
    <t xml:space="preserve"> - Class 1 employee higer rate</t>
  </si>
  <si>
    <t xml:space="preserve"> - Class 1 employer rate</t>
  </si>
  <si>
    <t xml:space="preserve"> - Class 2</t>
  </si>
  <si>
    <t xml:space="preserve"> - Class 4 basic rate</t>
  </si>
  <si>
    <t>Tax bands</t>
  </si>
  <si>
    <t>Personal allowance</t>
  </si>
  <si>
    <t>National Insurance bands</t>
  </si>
  <si>
    <t xml:space="preserve"> - Class 1 employees primary threshold</t>
  </si>
  <si>
    <t xml:space="preserve"> - Class 1 employee upper earnings limit</t>
  </si>
  <si>
    <t xml:space="preserve"> - Class 1 employer primary threshold</t>
  </si>
  <si>
    <t xml:space="preserve"> - Class 4 lower profit limit</t>
  </si>
  <si>
    <t xml:space="preserve"> - Class 4 upper profit limit</t>
  </si>
  <si>
    <t>basic rate</t>
  </si>
  <si>
    <t>higher rate</t>
  </si>
  <si>
    <t>starting rate</t>
  </si>
  <si>
    <t>Tax on full band</t>
  </si>
  <si>
    <t xml:space="preserve"> - starting band</t>
  </si>
  <si>
    <t xml:space="preserve"> - basic band</t>
  </si>
  <si>
    <t>Company paying no salary and retaining the income</t>
  </si>
  <si>
    <t>Company bands</t>
  </si>
  <si>
    <t xml:space="preserve"> - dividend gross-up fraction</t>
  </si>
  <si>
    <t>Company paying no salary and no dividend</t>
  </si>
  <si>
    <t>Company paying no salary and dividend the maximum</t>
  </si>
  <si>
    <t>less personal allowance</t>
  </si>
  <si>
    <t>taxable income</t>
  </si>
  <si>
    <t>less threshold</t>
  </si>
  <si>
    <t>income for NI</t>
  </si>
  <si>
    <t>class 4 basic rate</t>
  </si>
  <si>
    <t>class 4 higher rate</t>
  </si>
  <si>
    <t>class 2</t>
  </si>
  <si>
    <t>company income</t>
  </si>
  <si>
    <t>less Ctax</t>
  </si>
  <si>
    <t>profit after tax</t>
  </si>
  <si>
    <t>gross dividend</t>
  </si>
  <si>
    <t>less:personal allowance</t>
  </si>
  <si>
    <t>income</t>
  </si>
  <si>
    <t>Profit before tax</t>
  </si>
  <si>
    <t>less salary</t>
  </si>
  <si>
    <t>c. Tax</t>
  </si>
  <si>
    <t>class 1 threshold</t>
  </si>
  <si>
    <t>class 1 employers</t>
  </si>
  <si>
    <t>salary</t>
  </si>
  <si>
    <t>class 1 employees</t>
  </si>
  <si>
    <t>less:salary</t>
  </si>
  <si>
    <t>NI on full band class 1 employee</t>
  </si>
  <si>
    <t>NI on full band class 1 employer</t>
  </si>
  <si>
    <t>profit before tax</t>
  </si>
  <si>
    <t>less:class 1 employers NI</t>
  </si>
  <si>
    <t>class 1 NIC basic rate</t>
  </si>
  <si>
    <t>class 1 NIC higher rate</t>
  </si>
  <si>
    <t>tax: starting rate</t>
  </si>
  <si>
    <t>c. tax</t>
  </si>
  <si>
    <t xml:space="preserve"> - Class 4 higher rate</t>
  </si>
  <si>
    <t>maximum</t>
  </si>
  <si>
    <t>£140k plus reduction</t>
  </si>
  <si>
    <t>threshold</t>
  </si>
  <si>
    <t xml:space="preserve">add: personnal allowance add back </t>
  </si>
  <si>
    <t xml:space="preserve">taxable income </t>
  </si>
  <si>
    <t>£100k reduction</t>
  </si>
  <si>
    <t xml:space="preserve"> - higher band</t>
  </si>
  <si>
    <t>add: personnal allowance add back</t>
  </si>
  <si>
    <t>taxable income bands</t>
  </si>
  <si>
    <t>total income</t>
  </si>
  <si>
    <t>basic</t>
  </si>
  <si>
    <t>higher</t>
  </si>
  <si>
    <t>less: employers NIC</t>
  </si>
  <si>
    <t>Company paying salary up to NIC threshold and dividend the balance</t>
  </si>
  <si>
    <t xml:space="preserve"> - Additional rate</t>
  </si>
  <si>
    <t xml:space="preserve"> -Additional dividend rate</t>
  </si>
  <si>
    <t>Company paying salary up to company NIC threshold and dividend the balance</t>
  </si>
  <si>
    <t>Company paying salary up to Company NIC threshold and dividend the balance</t>
  </si>
  <si>
    <t>Results for tax year</t>
  </si>
  <si>
    <t>NI on full class 4 band</t>
  </si>
  <si>
    <t>Enter income for the year</t>
  </si>
  <si>
    <t>45% rate</t>
  </si>
  <si>
    <t>37.5% rate</t>
  </si>
  <si>
    <t>Self-employed</t>
  </si>
  <si>
    <t>Company paying salary up to personal allowance and dividend the balance</t>
  </si>
  <si>
    <t>Company paying salary up to the personal allowance and dividend the balance</t>
  </si>
  <si>
    <t xml:space="preserve"> - Dividend basic tax rate</t>
  </si>
  <si>
    <t xml:space="preserve"> - Dividend tax band</t>
  </si>
  <si>
    <t>Basic rate, dividend</t>
  </si>
  <si>
    <t>basic rate dividend</t>
  </si>
  <si>
    <t>Company paying  salary up to personal allowance</t>
  </si>
  <si>
    <t xml:space="preserve"> - employers allowance</t>
  </si>
  <si>
    <t>2018-19</t>
  </si>
  <si>
    <t>This calculator functions above income levels of £11,500 for UK taxpayers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</si>
</sst>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3" fontId="0" fillId="0" borderId="0" xfId="0" applyNumberFormat="1"/>
    <xf numFmtId="3" fontId="0" fillId="0" borderId="0" xfId="0" applyNumberFormat="1"/>
    <xf numFmtId="0" fontId="4" fillId="0" borderId="1" xfId="0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1" fontId="0" fillId="0" borderId="0" xfId="0" applyNumberFormat="1" applyAlignment="1">
      <alignment horizontal="right"/>
    </xf>
    <xf numFmtId="1" fontId="4" fillId="0" borderId="0" xfId="0" applyNumberFormat="1" applyFont="1"/>
    <xf numFmtId="1" fontId="0" fillId="0" borderId="4" xfId="0" applyNumberFormat="1" applyBorder="1" applyAlignment="1">
      <alignment horizontal="right"/>
    </xf>
    <xf numFmtId="10" fontId="4" fillId="0" borderId="0" xfId="0" applyNumberFormat="1" applyFont="1" applyAlignment="1">
      <alignment wrapText="1"/>
    </xf>
    <xf numFmtId="39" fontId="0" fillId="0" borderId="0" xfId="0" applyNumberFormat="1"/>
    <xf numFmtId="0" fontId="1" fillId="0" borderId="0" xfId="0" applyFont="1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1" fontId="0" fillId="3" borderId="0" xfId="0" applyNumberFormat="1" applyFill="1" applyProtection="1">
      <protection locked="0"/>
    </xf>
    <xf numFmtId="0" fontId="1" fillId="0" borderId="0" xfId="0" quotePrefix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2" borderId="0" xfId="0" applyFont="1" applyFill="1"/>
    <xf numFmtId="0" fontId="4" fillId="0" borderId="0" xfId="0" quotePrefix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142875</xdr:colOff>
      <xdr:row>3</xdr:row>
      <xdr:rowOff>43180</xdr:rowOff>
    </xdr:to>
    <xdr:pic>
      <xdr:nvPicPr>
        <xdr:cNvPr id="7" name="Picture 6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104775</xdr:colOff>
      <xdr:row>2</xdr:row>
      <xdr:rowOff>176530</xdr:rowOff>
    </xdr:to>
    <xdr:pic>
      <xdr:nvPicPr>
        <xdr:cNvPr id="3" name="Picture 2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5080</xdr:rowOff>
    </xdr:to>
    <xdr:pic>
      <xdr:nvPicPr>
        <xdr:cNvPr id="2" name="Picture 1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43180</xdr:rowOff>
    </xdr:to>
    <xdr:pic>
      <xdr:nvPicPr>
        <xdr:cNvPr id="3" name="Picture 2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3"/>
  <sheetViews>
    <sheetView tabSelected="1" topLeftCell="B1" zoomScaleNormal="100" workbookViewId="0">
      <selection activeCell="C11" sqref="C11"/>
    </sheetView>
  </sheetViews>
  <sheetFormatPr defaultRowHeight="12.75" x14ac:dyDescent="0.2"/>
  <cols>
    <col min="1" max="1" width="9.140625" style="20"/>
    <col min="2" max="2" width="27.28515625" customWidth="1"/>
    <col min="3" max="3" width="8.42578125" customWidth="1"/>
  </cols>
  <sheetData>
    <row r="1" spans="1:6" ht="18" x14ac:dyDescent="0.25">
      <c r="B1" s="2"/>
    </row>
    <row r="6" spans="1:6" ht="15.75" x14ac:dyDescent="0.25">
      <c r="B6" s="3" t="s">
        <v>1</v>
      </c>
    </row>
    <row r="7" spans="1:6" ht="15.75" x14ac:dyDescent="0.25">
      <c r="B7" s="3"/>
    </row>
    <row r="8" spans="1:6" x14ac:dyDescent="0.2">
      <c r="B8" s="34" t="s">
        <v>109</v>
      </c>
      <c r="C8" s="30"/>
      <c r="D8" s="30"/>
      <c r="E8" s="30"/>
      <c r="F8" s="30"/>
    </row>
    <row r="11" spans="1:6" x14ac:dyDescent="0.2">
      <c r="B11" s="1" t="s">
        <v>2</v>
      </c>
      <c r="C11" s="31">
        <v>70000</v>
      </c>
      <c r="E11" s="6" t="s">
        <v>96</v>
      </c>
    </row>
    <row r="12" spans="1:6" x14ac:dyDescent="0.2">
      <c r="B12" s="1"/>
    </row>
    <row r="13" spans="1:6" x14ac:dyDescent="0.2">
      <c r="B13" s="1" t="s">
        <v>94</v>
      </c>
      <c r="D13" s="32" t="str">
        <f>'tax split'!C9</f>
        <v>2018-19</v>
      </c>
    </row>
    <row r="14" spans="1:6" x14ac:dyDescent="0.2">
      <c r="D14" s="28"/>
    </row>
    <row r="15" spans="1:6" x14ac:dyDescent="0.2">
      <c r="A15" s="20">
        <v>1</v>
      </c>
      <c r="B15" s="1" t="s">
        <v>99</v>
      </c>
      <c r="D15" s="29">
        <f>IF(Income&lt;'base data'!C38,"N/A",'tax split'!C15)</f>
        <v>20399.740000000002</v>
      </c>
    </row>
    <row r="16" spans="1:6" ht="30.75" customHeight="1" x14ac:dyDescent="0.2">
      <c r="A16" s="20">
        <v>2</v>
      </c>
      <c r="B16" s="7" t="s">
        <v>41</v>
      </c>
      <c r="D16" s="29">
        <f>'tax split'!C22</f>
        <v>13300</v>
      </c>
    </row>
    <row r="17" spans="1:4" ht="25.5" x14ac:dyDescent="0.2">
      <c r="A17" s="20">
        <v>3</v>
      </c>
      <c r="B17" s="7" t="s">
        <v>45</v>
      </c>
      <c r="D17" s="29">
        <f>'tax split'!C29</f>
        <v>19101.25</v>
      </c>
    </row>
    <row r="18" spans="1:4" ht="38.25" x14ac:dyDescent="0.2">
      <c r="A18" s="20">
        <v>4</v>
      </c>
      <c r="B18" s="7" t="s">
        <v>93</v>
      </c>
      <c r="D18" s="29">
        <f>IF(Income&lt;'base data'!C53,"N/A",'tax split'!C36)</f>
        <v>18020.871999999999</v>
      </c>
    </row>
    <row r="19" spans="1:4" ht="38.25" x14ac:dyDescent="0.2">
      <c r="B19" s="7" t="s">
        <v>101</v>
      </c>
      <c r="D19" s="29">
        <f>'tax split'!C43</f>
        <v>18251.104339000001</v>
      </c>
    </row>
    <row r="20" spans="1:4" ht="25.5" x14ac:dyDescent="0.2">
      <c r="A20" s="20">
        <v>6</v>
      </c>
      <c r="B20" s="7" t="s">
        <v>12</v>
      </c>
      <c r="D20" s="29">
        <f>IF(Income&lt;'base data'!C38,"N/A",'tax split'!C51)</f>
        <v>25715.001405975396</v>
      </c>
    </row>
    <row r="23" spans="1:4" x14ac:dyDescent="0.2">
      <c r="B23" s="27"/>
    </row>
  </sheetData>
  <sheetProtection password="8FCF" sheet="1" objects="1" scenarios="1" selectLockedCells="1"/>
  <protectedRanges>
    <protectedRange sqref="C11" name="Income"/>
  </protectedRange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1"/>
  <sheetViews>
    <sheetView topLeftCell="A22" workbookViewId="0">
      <selection activeCell="E31" sqref="E31"/>
    </sheetView>
  </sheetViews>
  <sheetFormatPr defaultRowHeight="12.75" x14ac:dyDescent="0.2"/>
  <cols>
    <col min="1" max="1" width="27.140625" customWidth="1"/>
    <col min="5" max="5" width="22.42578125" customWidth="1"/>
  </cols>
  <sheetData>
    <row r="1" spans="1:10" ht="18" x14ac:dyDescent="0.25">
      <c r="A1" s="2"/>
    </row>
    <row r="2" spans="1:10" ht="18" x14ac:dyDescent="0.25">
      <c r="A2" s="2"/>
    </row>
    <row r="3" spans="1:10" ht="18" x14ac:dyDescent="0.25">
      <c r="A3" s="2"/>
    </row>
    <row r="5" spans="1:10" ht="15.75" x14ac:dyDescent="0.25">
      <c r="A5" s="3" t="s">
        <v>1</v>
      </c>
    </row>
    <row r="8" spans="1:10" x14ac:dyDescent="0.2">
      <c r="A8" s="1"/>
    </row>
    <row r="9" spans="1:10" x14ac:dyDescent="0.2">
      <c r="A9" s="1" t="s">
        <v>3</v>
      </c>
      <c r="C9" s="32" t="s">
        <v>108</v>
      </c>
      <c r="G9" s="4"/>
      <c r="H9" s="5"/>
      <c r="I9" s="5"/>
      <c r="J9" s="5"/>
    </row>
    <row r="11" spans="1:10" x14ac:dyDescent="0.2">
      <c r="A11" s="1" t="s">
        <v>99</v>
      </c>
      <c r="G11" s="13"/>
      <c r="H11" s="13"/>
      <c r="I11" s="13"/>
      <c r="J11" s="13"/>
    </row>
    <row r="12" spans="1:10" x14ac:dyDescent="0.2">
      <c r="A12" s="6" t="s">
        <v>8</v>
      </c>
      <c r="C12" s="13">
        <f>'calculation sheet'!C20+'calculation sheet'!C21+'calculation sheet'!C22+'calculation sheet'!C23</f>
        <v>16360</v>
      </c>
    </row>
    <row r="13" spans="1:10" x14ac:dyDescent="0.2">
      <c r="A13" s="6" t="s">
        <v>5</v>
      </c>
      <c r="C13" s="13">
        <f>'calculation sheet'!C29</f>
        <v>153.4</v>
      </c>
    </row>
    <row r="14" spans="1:10" x14ac:dyDescent="0.2">
      <c r="A14" s="6" t="s">
        <v>6</v>
      </c>
      <c r="C14" s="13">
        <f>'calculation sheet'!C30+'calculation sheet'!C31</f>
        <v>3886.3399999999997</v>
      </c>
    </row>
    <row r="15" spans="1:10" x14ac:dyDescent="0.2">
      <c r="A15" s="14" t="s">
        <v>7</v>
      </c>
      <c r="B15" s="15"/>
      <c r="C15" s="17">
        <f>SUM(C12:C14)</f>
        <v>20399.740000000002</v>
      </c>
    </row>
    <row r="16" spans="1:10" x14ac:dyDescent="0.2">
      <c r="C16" s="13"/>
    </row>
    <row r="17" spans="1:3" ht="25.5" x14ac:dyDescent="0.2">
      <c r="A17" s="7" t="s">
        <v>41</v>
      </c>
      <c r="C17" s="13"/>
    </row>
    <row r="18" spans="1:3" x14ac:dyDescent="0.2">
      <c r="A18" t="s">
        <v>8</v>
      </c>
      <c r="C18" s="13">
        <v>0</v>
      </c>
    </row>
    <row r="19" spans="1:3" x14ac:dyDescent="0.2">
      <c r="A19" t="s">
        <v>10</v>
      </c>
      <c r="C19" s="13">
        <v>0</v>
      </c>
    </row>
    <row r="20" spans="1:3" x14ac:dyDescent="0.2">
      <c r="A20" t="s">
        <v>11</v>
      </c>
      <c r="C20" s="13">
        <v>0</v>
      </c>
    </row>
    <row r="21" spans="1:3" x14ac:dyDescent="0.2">
      <c r="A21" t="s">
        <v>9</v>
      </c>
      <c r="C21" s="13">
        <f>'calculation sheet'!C37</f>
        <v>13300</v>
      </c>
    </row>
    <row r="22" spans="1:3" x14ac:dyDescent="0.2">
      <c r="A22" s="18" t="s">
        <v>7</v>
      </c>
      <c r="B22" s="15"/>
      <c r="C22" s="17">
        <f>SUM(C18:C21)</f>
        <v>13300</v>
      </c>
    </row>
    <row r="23" spans="1:3" x14ac:dyDescent="0.2">
      <c r="C23" s="13"/>
    </row>
    <row r="24" spans="1:3" ht="25.5" x14ac:dyDescent="0.2">
      <c r="A24" s="7" t="s">
        <v>45</v>
      </c>
      <c r="C24" s="13"/>
    </row>
    <row r="25" spans="1:3" x14ac:dyDescent="0.2">
      <c r="A25" t="s">
        <v>8</v>
      </c>
      <c r="C25" s="13">
        <f>'calculation sheet'!C54+'calculation sheet'!C55+'calculation sheet'!C56</f>
        <v>5801.25</v>
      </c>
    </row>
    <row r="26" spans="1:3" x14ac:dyDescent="0.2">
      <c r="A26" t="s">
        <v>10</v>
      </c>
      <c r="C26" s="13"/>
    </row>
    <row r="27" spans="1:3" x14ac:dyDescent="0.2">
      <c r="A27" t="s">
        <v>11</v>
      </c>
      <c r="C27" s="13"/>
    </row>
    <row r="28" spans="1:3" x14ac:dyDescent="0.2">
      <c r="A28" t="s">
        <v>9</v>
      </c>
      <c r="C28" s="13">
        <f>-'calculation sheet'!C41</f>
        <v>13300</v>
      </c>
    </row>
    <row r="29" spans="1:3" x14ac:dyDescent="0.2">
      <c r="A29" s="18" t="s">
        <v>7</v>
      </c>
      <c r="B29" s="15"/>
      <c r="C29" s="17">
        <f>SUM(C25:C28)</f>
        <v>19101.25</v>
      </c>
    </row>
    <row r="30" spans="1:3" x14ac:dyDescent="0.2">
      <c r="A30" s="19"/>
      <c r="C30" s="13"/>
    </row>
    <row r="31" spans="1:3" ht="38.25" x14ac:dyDescent="0.2">
      <c r="A31" s="7" t="s">
        <v>89</v>
      </c>
      <c r="C31" s="13"/>
    </row>
    <row r="32" spans="1:3" x14ac:dyDescent="0.2">
      <c r="A32" t="s">
        <v>8</v>
      </c>
      <c r="C32" s="13">
        <f>'calculation sheet'!C79+'calculation sheet'!C80+'calculation sheet'!C81+'calculation sheet'!C82</f>
        <v>6321.4319999999989</v>
      </c>
    </row>
    <row r="33" spans="1:3" x14ac:dyDescent="0.2">
      <c r="A33" t="s">
        <v>10</v>
      </c>
      <c r="C33" s="13">
        <f>'calculation sheet'!C95</f>
        <v>0</v>
      </c>
    </row>
    <row r="34" spans="1:3" x14ac:dyDescent="0.2">
      <c r="A34" t="s">
        <v>11</v>
      </c>
      <c r="C34" s="13">
        <f>'calculation sheet'!C89</f>
        <v>0</v>
      </c>
    </row>
    <row r="35" spans="1:3" x14ac:dyDescent="0.2">
      <c r="A35" t="s">
        <v>9</v>
      </c>
      <c r="C35" s="13">
        <f>-'calculation sheet'!C63</f>
        <v>11699.44</v>
      </c>
    </row>
    <row r="36" spans="1:3" x14ac:dyDescent="0.2">
      <c r="A36" s="18" t="s">
        <v>7</v>
      </c>
      <c r="B36" s="15"/>
      <c r="C36" s="16">
        <f>SUM(C32:C35)</f>
        <v>18020.871999999999</v>
      </c>
    </row>
    <row r="37" spans="1:3" x14ac:dyDescent="0.2">
      <c r="A37" s="19"/>
      <c r="C37" s="13"/>
    </row>
    <row r="38" spans="1:3" ht="38.25" x14ac:dyDescent="0.2">
      <c r="A38" s="7" t="s">
        <v>100</v>
      </c>
    </row>
    <row r="39" spans="1:3" x14ac:dyDescent="0.2">
      <c r="A39" t="s">
        <v>8</v>
      </c>
      <c r="C39" s="13">
        <f>'calculation sheet'!C150+'calculation sheet'!C151+'calculation sheet'!C152+'calculation sheet'!C153</f>
        <v>6408.5260589999998</v>
      </c>
    </row>
    <row r="40" spans="1:3" x14ac:dyDescent="0.2">
      <c r="A40" t="s">
        <v>10</v>
      </c>
      <c r="C40" s="13">
        <f>'calculation sheet'!C166</f>
        <v>411.12</v>
      </c>
    </row>
    <row r="41" spans="1:3" x14ac:dyDescent="0.2">
      <c r="A41" t="s">
        <v>11</v>
      </c>
      <c r="C41" s="13">
        <f>MAX('calculation sheet'!C160,0)</f>
        <v>472.78800000000007</v>
      </c>
    </row>
    <row r="42" spans="1:3" x14ac:dyDescent="0.2">
      <c r="A42" t="s">
        <v>9</v>
      </c>
      <c r="C42" s="13">
        <f>-'calculation sheet'!C134</f>
        <v>10958.67028</v>
      </c>
    </row>
    <row r="43" spans="1:3" x14ac:dyDescent="0.2">
      <c r="A43" s="18" t="s">
        <v>7</v>
      </c>
      <c r="B43" s="15"/>
      <c r="C43" s="16">
        <f>SUM(C39:C42)</f>
        <v>18251.104339000001</v>
      </c>
    </row>
    <row r="46" spans="1:3" ht="25.5" x14ac:dyDescent="0.2">
      <c r="A46" s="7" t="s">
        <v>12</v>
      </c>
      <c r="C46" s="13"/>
    </row>
    <row r="47" spans="1:3" x14ac:dyDescent="0.2">
      <c r="A47" t="s">
        <v>8</v>
      </c>
      <c r="C47" s="13">
        <f>'calculation sheet'!C115+'calculation sheet'!C116+'calculation sheet'!C117+'calculation sheet'!C118</f>
        <v>13373.185237258347</v>
      </c>
    </row>
    <row r="48" spans="1:3" x14ac:dyDescent="0.2">
      <c r="A48" t="s">
        <v>10</v>
      </c>
      <c r="C48" s="13">
        <f>'calculation sheet'!C124+'calculation sheet'!C125</f>
        <v>4874.7792618629173</v>
      </c>
    </row>
    <row r="49" spans="1:3" x14ac:dyDescent="0.2">
      <c r="A49" t="s">
        <v>11</v>
      </c>
      <c r="C49" s="13">
        <f>-'calculation sheet'!C100</f>
        <v>7467.0369068541313</v>
      </c>
    </row>
    <row r="50" spans="1:3" x14ac:dyDescent="0.2">
      <c r="A50" t="s">
        <v>9</v>
      </c>
      <c r="C50" s="13">
        <f>'calculation sheet'!C102</f>
        <v>0</v>
      </c>
    </row>
    <row r="51" spans="1:3" x14ac:dyDescent="0.2">
      <c r="A51" s="18" t="s">
        <v>7</v>
      </c>
      <c r="B51" s="15"/>
      <c r="C51" s="17">
        <f>SUM(C47:C50)</f>
        <v>25715.001405975396</v>
      </c>
    </row>
  </sheetData>
  <sheetProtection password="8FCF" sheet="1" objects="1" scenarios="1" selectLockedCells="1" selectUnlockedCells="1"/>
  <phoneticPr fontId="5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66"/>
  <sheetViews>
    <sheetView topLeftCell="A7" workbookViewId="0">
      <selection activeCell="C31" sqref="C31"/>
    </sheetView>
  </sheetViews>
  <sheetFormatPr defaultRowHeight="12.75" x14ac:dyDescent="0.2"/>
  <cols>
    <col min="1" max="1" width="33.85546875" customWidth="1"/>
    <col min="3" max="3" width="10.28515625" customWidth="1"/>
  </cols>
  <sheetData>
    <row r="1" spans="1:3" ht="18" x14ac:dyDescent="0.25">
      <c r="A1" s="2"/>
    </row>
    <row r="3" spans="1:3" ht="15.75" x14ac:dyDescent="0.25">
      <c r="A3" s="3"/>
    </row>
    <row r="6" spans="1:3" x14ac:dyDescent="0.2">
      <c r="A6" s="1"/>
    </row>
    <row r="7" spans="1:3" x14ac:dyDescent="0.2">
      <c r="A7" s="1" t="s">
        <v>3</v>
      </c>
      <c r="C7" s="33" t="str">
        <f>'tax split'!C9</f>
        <v>2018-19</v>
      </c>
    </row>
    <row r="9" spans="1:3" x14ac:dyDescent="0.2">
      <c r="A9" s="1" t="s">
        <v>4</v>
      </c>
    </row>
    <row r="10" spans="1:3" x14ac:dyDescent="0.2">
      <c r="A10" s="6" t="s">
        <v>2</v>
      </c>
      <c r="C10">
        <f>Income</f>
        <v>70000</v>
      </c>
    </row>
    <row r="11" spans="1:3" x14ac:dyDescent="0.2">
      <c r="A11" s="6" t="s">
        <v>46</v>
      </c>
      <c r="C11" s="11">
        <f>-'base data'!C38</f>
        <v>-11850</v>
      </c>
    </row>
    <row r="12" spans="1:3" x14ac:dyDescent="0.2">
      <c r="A12" s="6" t="s">
        <v>79</v>
      </c>
      <c r="C12" s="11">
        <f>IF(C10&gt;'base data'!C40,MIN(-C11,(C10-'base data'!C40)*'base data'!C39),0)</f>
        <v>0</v>
      </c>
    </row>
    <row r="13" spans="1:3" x14ac:dyDescent="0.2">
      <c r="A13" s="6" t="s">
        <v>47</v>
      </c>
      <c r="C13">
        <f>SUM(C10:C12)</f>
        <v>58150</v>
      </c>
    </row>
    <row r="14" spans="1:3" x14ac:dyDescent="0.2">
      <c r="A14" s="6"/>
    </row>
    <row r="15" spans="1:3" x14ac:dyDescent="0.2">
      <c r="A15" s="6" t="s">
        <v>80</v>
      </c>
    </row>
    <row r="16" spans="1:3" x14ac:dyDescent="0.2">
      <c r="A16" s="6" t="s">
        <v>35</v>
      </c>
      <c r="C16">
        <f>IF(C13&gt;'base data'!C48,'base data'!C48,C13)</f>
        <v>34500</v>
      </c>
    </row>
    <row r="17" spans="1:3" x14ac:dyDescent="0.2">
      <c r="A17" s="6" t="s">
        <v>36</v>
      </c>
      <c r="C17">
        <f>C13-C16-C18</f>
        <v>23650</v>
      </c>
    </row>
    <row r="18" spans="1:3" x14ac:dyDescent="0.2">
      <c r="A18" s="6" t="s">
        <v>97</v>
      </c>
      <c r="C18">
        <f>IF(C13&gt;'base data'!C49,'calculation sheet'!C13-'base data'!C49,0)</f>
        <v>0</v>
      </c>
    </row>
    <row r="19" spans="1:3" x14ac:dyDescent="0.2">
      <c r="A19" s="6"/>
    </row>
    <row r="20" spans="1:3" x14ac:dyDescent="0.2">
      <c r="A20" s="6" t="s">
        <v>37</v>
      </c>
      <c r="C20">
        <f>IF(C13&gt;'base data'!C47,'base data'!C20,'calculation sheet'!C13*'base data'!C10)</f>
        <v>0</v>
      </c>
    </row>
    <row r="21" spans="1:3" x14ac:dyDescent="0.2">
      <c r="A21" s="6" t="s">
        <v>35</v>
      </c>
      <c r="C21">
        <f>C16*'base data'!C11</f>
        <v>6900</v>
      </c>
    </row>
    <row r="22" spans="1:3" x14ac:dyDescent="0.2">
      <c r="A22" s="6" t="s">
        <v>36</v>
      </c>
      <c r="C22">
        <f>C17*'base data'!C12</f>
        <v>9460</v>
      </c>
    </row>
    <row r="23" spans="1:3" x14ac:dyDescent="0.2">
      <c r="A23" s="6" t="s">
        <v>97</v>
      </c>
      <c r="C23">
        <f>C18*'base data'!C13</f>
        <v>0</v>
      </c>
    </row>
    <row r="24" spans="1:3" x14ac:dyDescent="0.2">
      <c r="A24" s="6"/>
    </row>
    <row r="25" spans="1:3" x14ac:dyDescent="0.2">
      <c r="A25" s="6" t="s">
        <v>2</v>
      </c>
      <c r="C25">
        <f>Income</f>
        <v>70000</v>
      </c>
    </row>
    <row r="26" spans="1:3" x14ac:dyDescent="0.2">
      <c r="A26" s="6" t="s">
        <v>48</v>
      </c>
      <c r="C26" s="11">
        <f>-'base data'!C56</f>
        <v>-8424</v>
      </c>
    </row>
    <row r="27" spans="1:3" x14ac:dyDescent="0.2">
      <c r="A27" s="6" t="s">
        <v>49</v>
      </c>
      <c r="C27" s="11">
        <f>SUM(C25:C26)</f>
        <v>61576</v>
      </c>
    </row>
    <row r="28" spans="1:3" x14ac:dyDescent="0.2">
      <c r="A28" s="6"/>
      <c r="C28" s="11"/>
    </row>
    <row r="29" spans="1:3" x14ac:dyDescent="0.2">
      <c r="A29" s="6" t="s">
        <v>52</v>
      </c>
      <c r="C29" s="11">
        <f>52*'base data'!C33</f>
        <v>153.4</v>
      </c>
    </row>
    <row r="30" spans="1:3" x14ac:dyDescent="0.2">
      <c r="A30" s="6" t="s">
        <v>50</v>
      </c>
      <c r="C30" s="11">
        <f>IF(C25&gt;'base data'!C57,'base data'!C62,'calculation sheet'!C27*'base data'!C34)</f>
        <v>3413.3399999999997</v>
      </c>
    </row>
    <row r="31" spans="1:3" x14ac:dyDescent="0.2">
      <c r="A31" s="6" t="s">
        <v>51</v>
      </c>
      <c r="C31" s="11">
        <f>IF(C25&gt;'base data'!C57,(Income-'base data'!C57)*'base data'!C35,0)</f>
        <v>473</v>
      </c>
    </row>
    <row r="33" spans="1:3" ht="25.5" x14ac:dyDescent="0.2">
      <c r="A33" s="7" t="s">
        <v>44</v>
      </c>
    </row>
    <row r="34" spans="1:3" x14ac:dyDescent="0.2">
      <c r="A34" t="s">
        <v>8</v>
      </c>
    </row>
    <row r="35" spans="1:3" x14ac:dyDescent="0.2">
      <c r="A35" t="s">
        <v>10</v>
      </c>
    </row>
    <row r="36" spans="1:3" x14ac:dyDescent="0.2">
      <c r="A36" t="s">
        <v>11</v>
      </c>
    </row>
    <row r="37" spans="1:3" x14ac:dyDescent="0.2">
      <c r="A37" t="s">
        <v>9</v>
      </c>
      <c r="C37">
        <f>Income*'base data'!C25</f>
        <v>13300</v>
      </c>
    </row>
    <row r="39" spans="1:3" ht="25.5" x14ac:dyDescent="0.2">
      <c r="A39" s="7" t="s">
        <v>45</v>
      </c>
    </row>
    <row r="40" spans="1:3" x14ac:dyDescent="0.2">
      <c r="A40" s="21" t="s">
        <v>53</v>
      </c>
      <c r="C40" s="11">
        <f>Income</f>
        <v>70000</v>
      </c>
    </row>
    <row r="41" spans="1:3" x14ac:dyDescent="0.2">
      <c r="A41" s="21" t="s">
        <v>54</v>
      </c>
      <c r="C41" s="11">
        <f>-C40*'base data'!C25</f>
        <v>-13300</v>
      </c>
    </row>
    <row r="42" spans="1:3" x14ac:dyDescent="0.2">
      <c r="A42" s="21" t="s">
        <v>55</v>
      </c>
      <c r="C42" s="11">
        <f>SUM(C40:C41)</f>
        <v>56700</v>
      </c>
    </row>
    <row r="43" spans="1:3" x14ac:dyDescent="0.2">
      <c r="A43" s="21"/>
      <c r="C43" s="11"/>
    </row>
    <row r="44" spans="1:3" x14ac:dyDescent="0.2">
      <c r="A44" s="21" t="s">
        <v>56</v>
      </c>
      <c r="C44" s="11">
        <f>C42*'base data'!C17</f>
        <v>56700</v>
      </c>
    </row>
    <row r="45" spans="1:3" x14ac:dyDescent="0.2">
      <c r="A45" s="21" t="s">
        <v>57</v>
      </c>
      <c r="C45" s="11">
        <f>-'base data'!C38</f>
        <v>-11850</v>
      </c>
    </row>
    <row r="46" spans="1:3" x14ac:dyDescent="0.2">
      <c r="A46" s="6" t="s">
        <v>83</v>
      </c>
      <c r="C46" s="11">
        <f>IF(C44&gt;'base data'!C40,MIN(('calculation sheet'!C44-'base data'!C40)*'base data'!C39,-C45),0)</f>
        <v>0</v>
      </c>
    </row>
    <row r="47" spans="1:3" x14ac:dyDescent="0.2">
      <c r="A47" s="21" t="s">
        <v>47</v>
      </c>
      <c r="C47" s="11">
        <f>SUM(C44:C46)</f>
        <v>44850</v>
      </c>
    </row>
    <row r="48" spans="1:3" x14ac:dyDescent="0.2">
      <c r="A48" s="21"/>
      <c r="C48" s="11"/>
    </row>
    <row r="49" spans="1:3" x14ac:dyDescent="0.2">
      <c r="A49" s="21" t="s">
        <v>84</v>
      </c>
      <c r="C49" s="11"/>
    </row>
    <row r="50" spans="1:3" x14ac:dyDescent="0.2">
      <c r="A50" s="21" t="s">
        <v>35</v>
      </c>
      <c r="C50" s="11">
        <f>IF(C47&gt;'base data'!C48,'base data'!C48,'calculation sheet'!C47)</f>
        <v>34500</v>
      </c>
    </row>
    <row r="51" spans="1:3" x14ac:dyDescent="0.2">
      <c r="A51" s="21" t="s">
        <v>36</v>
      </c>
      <c r="C51" s="11">
        <f>C47-C50-C52</f>
        <v>10350</v>
      </c>
    </row>
    <row r="52" spans="1:3" x14ac:dyDescent="0.2">
      <c r="A52" s="21" t="s">
        <v>98</v>
      </c>
      <c r="C52" s="11">
        <f>IF(C47&gt;'base data'!C49,'calculation sheet'!C47-'base data'!C49,0)</f>
        <v>0</v>
      </c>
    </row>
    <row r="53" spans="1:3" x14ac:dyDescent="0.2">
      <c r="A53" s="21"/>
      <c r="C53" s="11"/>
    </row>
    <row r="54" spans="1:3" x14ac:dyDescent="0.2">
      <c r="A54" s="21" t="s">
        <v>35</v>
      </c>
      <c r="C54" s="11">
        <f>(C50-'base data'!C50)*'base data'!C14</f>
        <v>2437.5</v>
      </c>
    </row>
    <row r="55" spans="1:3" x14ac:dyDescent="0.2">
      <c r="A55" s="21" t="s">
        <v>36</v>
      </c>
      <c r="C55" s="11">
        <f>C51*'base data'!C15</f>
        <v>3363.75</v>
      </c>
    </row>
    <row r="56" spans="1:3" x14ac:dyDescent="0.2">
      <c r="A56" s="21" t="s">
        <v>98</v>
      </c>
      <c r="C56" s="11">
        <f>C52*'base data'!C16</f>
        <v>0</v>
      </c>
    </row>
    <row r="58" spans="1:3" ht="38.25" x14ac:dyDescent="0.2">
      <c r="A58" s="7" t="s">
        <v>92</v>
      </c>
    </row>
    <row r="59" spans="1:3" x14ac:dyDescent="0.2">
      <c r="A59" s="21" t="s">
        <v>58</v>
      </c>
      <c r="C59">
        <f>Income</f>
        <v>70000</v>
      </c>
    </row>
    <row r="60" spans="1:3" x14ac:dyDescent="0.2">
      <c r="A60" s="21" t="s">
        <v>60</v>
      </c>
      <c r="C60" s="11">
        <f>-'base data'!C55</f>
        <v>-8424</v>
      </c>
    </row>
    <row r="61" spans="1:3" x14ac:dyDescent="0.2">
      <c r="A61" s="21" t="s">
        <v>88</v>
      </c>
      <c r="C61" s="11">
        <f>-C89</f>
        <v>0</v>
      </c>
    </row>
    <row r="62" spans="1:3" x14ac:dyDescent="0.2">
      <c r="A62" s="21" t="s">
        <v>59</v>
      </c>
      <c r="C62">
        <f>SUM(C59:C61)</f>
        <v>61576</v>
      </c>
    </row>
    <row r="63" spans="1:3" x14ac:dyDescent="0.2">
      <c r="A63" s="21" t="s">
        <v>61</v>
      </c>
      <c r="C63">
        <f>-C62*'base data'!C25</f>
        <v>-11699.44</v>
      </c>
    </row>
    <row r="64" spans="1:3" x14ac:dyDescent="0.2">
      <c r="A64" s="21" t="s">
        <v>55</v>
      </c>
      <c r="C64">
        <f>SUM(C62:C63)</f>
        <v>49876.56</v>
      </c>
    </row>
    <row r="65" spans="1:6" x14ac:dyDescent="0.2">
      <c r="A65" s="21"/>
    </row>
    <row r="66" spans="1:6" x14ac:dyDescent="0.2">
      <c r="A66" s="21" t="s">
        <v>56</v>
      </c>
      <c r="C66" s="22">
        <f>C64*'base data'!C17</f>
        <v>49876.56</v>
      </c>
    </row>
    <row r="67" spans="1:6" x14ac:dyDescent="0.2">
      <c r="A67" s="21" t="s">
        <v>64</v>
      </c>
      <c r="B67" s="19"/>
      <c r="C67" s="22">
        <f>-C60</f>
        <v>8424</v>
      </c>
    </row>
    <row r="68" spans="1:6" x14ac:dyDescent="0.2">
      <c r="A68" s="21" t="s">
        <v>85</v>
      </c>
      <c r="B68" s="19"/>
      <c r="C68" s="24">
        <f>SUM(C66:C67)</f>
        <v>58300.56</v>
      </c>
    </row>
    <row r="69" spans="1:6" x14ac:dyDescent="0.2">
      <c r="A69" s="21" t="s">
        <v>46</v>
      </c>
      <c r="C69" s="11">
        <f>-'base data'!C38</f>
        <v>-11850</v>
      </c>
    </row>
    <row r="70" spans="1:6" x14ac:dyDescent="0.2">
      <c r="A70" s="6" t="s">
        <v>83</v>
      </c>
      <c r="C70" s="11">
        <f>IF(C68&gt;'base data'!C$40,MIN(('calculation sheet'!C68-'base data'!C$40)*'base data'!C39,-'calculation sheet'!C69),0)</f>
        <v>0</v>
      </c>
    </row>
    <row r="71" spans="1:6" x14ac:dyDescent="0.2">
      <c r="A71" s="21" t="s">
        <v>47</v>
      </c>
      <c r="C71" s="11">
        <f>SUM(C68:C70)</f>
        <v>46450.559999999998</v>
      </c>
    </row>
    <row r="72" spans="1:6" x14ac:dyDescent="0.2">
      <c r="A72" s="21"/>
    </row>
    <row r="73" spans="1:6" x14ac:dyDescent="0.2">
      <c r="A73" s="21" t="s">
        <v>84</v>
      </c>
    </row>
    <row r="74" spans="1:6" x14ac:dyDescent="0.2">
      <c r="A74" s="21" t="s">
        <v>35</v>
      </c>
      <c r="C74" s="11">
        <f>MAX(C67+C69+C70,0)</f>
        <v>0</v>
      </c>
    </row>
    <row r="75" spans="1:6" x14ac:dyDescent="0.2">
      <c r="A75" s="21" t="s">
        <v>104</v>
      </c>
      <c r="C75">
        <f>IF(C71&gt;'base data'!C48,'base data'!C48-C74,'calculation sheet'!C71)</f>
        <v>34500</v>
      </c>
    </row>
    <row r="76" spans="1:6" x14ac:dyDescent="0.2">
      <c r="A76" s="21" t="s">
        <v>36</v>
      </c>
      <c r="C76" s="11">
        <f>C71-C74-C75-C77</f>
        <v>11950.559999999998</v>
      </c>
    </row>
    <row r="77" spans="1:6" x14ac:dyDescent="0.2">
      <c r="A77" s="25" t="s">
        <v>98</v>
      </c>
      <c r="C77">
        <f>IF(C71&gt;'base data'!C49,'calculation sheet'!C71-'base data'!C49,0)</f>
        <v>0</v>
      </c>
    </row>
    <row r="78" spans="1:6" x14ac:dyDescent="0.2">
      <c r="A78" s="21"/>
    </row>
    <row r="79" spans="1:6" x14ac:dyDescent="0.2">
      <c r="A79" s="21" t="s">
        <v>35</v>
      </c>
      <c r="C79" s="26">
        <f>IF((C67+C69+C70)&gt;0,(C67+C69+C70)*'base data'!C11,0)</f>
        <v>0</v>
      </c>
      <c r="F79" s="11"/>
    </row>
    <row r="80" spans="1:6" x14ac:dyDescent="0.2">
      <c r="A80" s="21" t="s">
        <v>105</v>
      </c>
      <c r="C80" s="26">
        <f>MAX(0,(C75-'base data'!C50)*'base data'!C14)</f>
        <v>2437.5</v>
      </c>
      <c r="F80" s="11"/>
    </row>
    <row r="81" spans="1:6" x14ac:dyDescent="0.2">
      <c r="A81" s="21" t="s">
        <v>36</v>
      </c>
      <c r="C81" s="26">
        <f>C76*'base data'!C15</f>
        <v>3883.9319999999993</v>
      </c>
    </row>
    <row r="82" spans="1:6" x14ac:dyDescent="0.2">
      <c r="A82" s="21" t="s">
        <v>98</v>
      </c>
      <c r="C82" s="26">
        <f>C77*'base data'!C16</f>
        <v>0</v>
      </c>
    </row>
    <row r="83" spans="1:6" x14ac:dyDescent="0.2">
      <c r="A83" s="21"/>
      <c r="C83" s="26"/>
      <c r="F83" s="11"/>
    </row>
    <row r="84" spans="1:6" x14ac:dyDescent="0.2">
      <c r="A84" s="21"/>
    </row>
    <row r="85" spans="1:6" x14ac:dyDescent="0.2">
      <c r="A85" s="21" t="s">
        <v>64</v>
      </c>
      <c r="C85" s="11">
        <f>-C60</f>
        <v>8424</v>
      </c>
    </row>
    <row r="86" spans="1:6" x14ac:dyDescent="0.2">
      <c r="A86" s="21" t="s">
        <v>62</v>
      </c>
      <c r="C86" s="11">
        <f>-'base data'!C55</f>
        <v>-8424</v>
      </c>
    </row>
    <row r="87" spans="1:6" x14ac:dyDescent="0.2">
      <c r="A87" s="21" t="s">
        <v>49</v>
      </c>
      <c r="C87">
        <f>SUM(C85:C86)</f>
        <v>0</v>
      </c>
    </row>
    <row r="88" spans="1:6" x14ac:dyDescent="0.2">
      <c r="A88" s="21"/>
    </row>
    <row r="89" spans="1:6" x14ac:dyDescent="0.2">
      <c r="A89" s="21" t="s">
        <v>63</v>
      </c>
      <c r="C89">
        <f>IF(C87&gt;0,C87*'base data'!#REF!,0)</f>
        <v>0</v>
      </c>
    </row>
    <row r="90" spans="1:6" x14ac:dyDescent="0.2">
      <c r="A90" s="21"/>
    </row>
    <row r="91" spans="1:6" x14ac:dyDescent="0.2">
      <c r="A91" s="21" t="s">
        <v>64</v>
      </c>
      <c r="C91" s="11">
        <f>C85</f>
        <v>8424</v>
      </c>
    </row>
    <row r="92" spans="1:6" x14ac:dyDescent="0.2">
      <c r="A92" s="21" t="s">
        <v>62</v>
      </c>
      <c r="C92" s="11">
        <f>-'base data'!C53</f>
        <v>-8424</v>
      </c>
    </row>
    <row r="93" spans="1:6" x14ac:dyDescent="0.2">
      <c r="A93" s="21" t="s">
        <v>49</v>
      </c>
      <c r="C93" s="11">
        <f>SUM(C91:C92)</f>
        <v>0</v>
      </c>
    </row>
    <row r="94" spans="1:6" x14ac:dyDescent="0.2">
      <c r="A94" s="21"/>
      <c r="C94" s="11"/>
    </row>
    <row r="95" spans="1:6" x14ac:dyDescent="0.2">
      <c r="A95" s="21" t="s">
        <v>65</v>
      </c>
      <c r="C95">
        <f>IF(C93&gt;0,C93*'base data'!C30,0)</f>
        <v>0</v>
      </c>
    </row>
    <row r="97" spans="1:3" x14ac:dyDescent="0.2">
      <c r="A97" s="7" t="s">
        <v>12</v>
      </c>
    </row>
    <row r="98" spans="1:3" s="6" customFormat="1" x14ac:dyDescent="0.2">
      <c r="A98" s="21" t="s">
        <v>58</v>
      </c>
      <c r="C98" s="23">
        <f>Income</f>
        <v>70000</v>
      </c>
    </row>
    <row r="99" spans="1:3" s="6" customFormat="1" x14ac:dyDescent="0.2">
      <c r="A99" s="21" t="s">
        <v>66</v>
      </c>
      <c r="C99" s="23">
        <f>-C98-C100</f>
        <v>-62532.963093145867</v>
      </c>
    </row>
    <row r="100" spans="1:3" s="6" customFormat="1" x14ac:dyDescent="0.2">
      <c r="A100" s="21" t="s">
        <v>70</v>
      </c>
      <c r="C100" s="23">
        <f>-IF((C98-'base data'!C55)*'base data'!C32/(1+'base data'!C32)&lt;2000,0,(C98-'base data'!C55)*'base data'!C32/(1+'base data'!C32)-'base data'!C36)</f>
        <v>-7467.0369068541313</v>
      </c>
    </row>
    <row r="101" spans="1:3" s="6" customFormat="1" x14ac:dyDescent="0.2">
      <c r="A101" s="21" t="s">
        <v>69</v>
      </c>
      <c r="C101" s="23">
        <f>SUM(C98:C100)</f>
        <v>0</v>
      </c>
    </row>
    <row r="102" spans="1:3" s="6" customFormat="1" x14ac:dyDescent="0.2">
      <c r="A102" s="21" t="s">
        <v>74</v>
      </c>
      <c r="C102" s="23">
        <f>C101*'base data'!C25</f>
        <v>0</v>
      </c>
    </row>
    <row r="103" spans="1:3" s="6" customFormat="1" x14ac:dyDescent="0.2">
      <c r="A103" s="21"/>
      <c r="C103" s="23"/>
    </row>
    <row r="104" spans="1:3" s="6" customFormat="1" x14ac:dyDescent="0.2">
      <c r="A104" s="21"/>
      <c r="C104" s="23"/>
    </row>
    <row r="105" spans="1:3" s="6" customFormat="1" x14ac:dyDescent="0.2">
      <c r="A105" s="21" t="s">
        <v>64</v>
      </c>
      <c r="C105" s="23">
        <f>-C99</f>
        <v>62532.963093145867</v>
      </c>
    </row>
    <row r="106" spans="1:3" s="6" customFormat="1" x14ac:dyDescent="0.2">
      <c r="A106" s="21" t="s">
        <v>46</v>
      </c>
      <c r="C106" s="23">
        <f>-'base data'!C38</f>
        <v>-11850</v>
      </c>
    </row>
    <row r="107" spans="1:3" s="6" customFormat="1" x14ac:dyDescent="0.2">
      <c r="A107" s="6" t="s">
        <v>83</v>
      </c>
      <c r="B107"/>
      <c r="C107" s="11">
        <f>IF(C105&gt;'base data'!C$40,MIN(('calculation sheet'!C105-'base data'!C$40)*'base data'!C39,'base data'!C$38),0)</f>
        <v>0</v>
      </c>
    </row>
    <row r="108" spans="1:3" s="6" customFormat="1" x14ac:dyDescent="0.2">
      <c r="A108" s="21" t="s">
        <v>47</v>
      </c>
      <c r="C108" s="23">
        <f>SUM(C105:C107)</f>
        <v>50682.963093145867</v>
      </c>
    </row>
    <row r="109" spans="1:3" s="6" customFormat="1" x14ac:dyDescent="0.2">
      <c r="A109" s="21"/>
      <c r="C109" s="23"/>
    </row>
    <row r="110" spans="1:3" s="6" customFormat="1" x14ac:dyDescent="0.2">
      <c r="A110" s="21" t="s">
        <v>84</v>
      </c>
      <c r="C110" s="23"/>
    </row>
    <row r="111" spans="1:3" s="6" customFormat="1" x14ac:dyDescent="0.2">
      <c r="A111" s="21" t="s">
        <v>86</v>
      </c>
      <c r="C111" s="23">
        <f>IF(C108&gt;'base data'!C48,'base data'!C48,'calculation sheet'!C108)</f>
        <v>34500</v>
      </c>
    </row>
    <row r="112" spans="1:3" s="6" customFormat="1" x14ac:dyDescent="0.2">
      <c r="A112" s="21" t="s">
        <v>87</v>
      </c>
      <c r="C112" s="23">
        <f>C108-C111-C113</f>
        <v>16182.963093145867</v>
      </c>
    </row>
    <row r="113" spans="1:3" s="6" customFormat="1" x14ac:dyDescent="0.2">
      <c r="A113" s="21" t="s">
        <v>97</v>
      </c>
      <c r="C113" s="23">
        <f>IF(C108&gt;'base data'!C49,'calculation sheet'!C108-'base data'!C49,0)</f>
        <v>0</v>
      </c>
    </row>
    <row r="114" spans="1:3" s="6" customFormat="1" x14ac:dyDescent="0.2">
      <c r="A114" s="21"/>
      <c r="C114" s="23"/>
    </row>
    <row r="115" spans="1:3" s="6" customFormat="1" x14ac:dyDescent="0.2">
      <c r="A115" s="21" t="s">
        <v>73</v>
      </c>
      <c r="C115" s="23">
        <f>IF(C108&gt;'base data'!C47,'base data'!C20,'calculation sheet'!C108*'base data'!C10)</f>
        <v>0</v>
      </c>
    </row>
    <row r="116" spans="1:3" s="6" customFormat="1" x14ac:dyDescent="0.2">
      <c r="A116" s="21" t="s">
        <v>35</v>
      </c>
      <c r="C116" s="23">
        <f>C111*'base data'!C11</f>
        <v>6900</v>
      </c>
    </row>
    <row r="117" spans="1:3" s="6" customFormat="1" x14ac:dyDescent="0.2">
      <c r="A117" s="21" t="s">
        <v>36</v>
      </c>
      <c r="C117" s="23">
        <f>C112*'base data'!C12</f>
        <v>6473.1852372583471</v>
      </c>
    </row>
    <row r="118" spans="1:3" s="6" customFormat="1" x14ac:dyDescent="0.2">
      <c r="A118" s="21" t="s">
        <v>97</v>
      </c>
      <c r="C118" s="23">
        <f>C113*'base data'!C13</f>
        <v>0</v>
      </c>
    </row>
    <row r="119" spans="1:3" s="6" customFormat="1" x14ac:dyDescent="0.2">
      <c r="A119" s="21"/>
      <c r="C119" s="23"/>
    </row>
    <row r="120" spans="1:3" s="6" customFormat="1" x14ac:dyDescent="0.2">
      <c r="A120" s="21" t="s">
        <v>64</v>
      </c>
      <c r="C120" s="23">
        <f>C105</f>
        <v>62532.963093145867</v>
      </c>
    </row>
    <row r="121" spans="1:3" s="6" customFormat="1" x14ac:dyDescent="0.2">
      <c r="A121" s="21" t="s">
        <v>48</v>
      </c>
      <c r="C121" s="23">
        <f>-'base data'!C53</f>
        <v>-8424</v>
      </c>
    </row>
    <row r="122" spans="1:3" s="6" customFormat="1" x14ac:dyDescent="0.2">
      <c r="A122" s="21"/>
      <c r="C122" s="23">
        <f>SUM(C120:C121)</f>
        <v>54108.963093145867</v>
      </c>
    </row>
    <row r="123" spans="1:3" s="6" customFormat="1" x14ac:dyDescent="0.2">
      <c r="A123" s="21"/>
      <c r="C123" s="23"/>
    </row>
    <row r="124" spans="1:3" s="6" customFormat="1" x14ac:dyDescent="0.2">
      <c r="A124" s="21" t="s">
        <v>71</v>
      </c>
      <c r="C124" s="23">
        <f>IF(C120&gt;'base data'!C54,'base data'!C59,'calculation sheet'!C122*'base data'!C30)</f>
        <v>4551.12</v>
      </c>
    </row>
    <row r="125" spans="1:3" s="6" customFormat="1" x14ac:dyDescent="0.2">
      <c r="A125" s="21" t="s">
        <v>72</v>
      </c>
      <c r="C125" s="23">
        <f>IF(C120&gt;'base data'!C54,('calculation sheet'!C120-'base data'!C54)*'base data'!C31,0)</f>
        <v>323.65926186291733</v>
      </c>
    </row>
    <row r="126" spans="1:3" s="6" customFormat="1" x14ac:dyDescent="0.2">
      <c r="A126" s="21"/>
    </row>
    <row r="128" spans="1:3" x14ac:dyDescent="0.2">
      <c r="A128" s="1" t="s">
        <v>106</v>
      </c>
    </row>
    <row r="130" spans="1:3" x14ac:dyDescent="0.2">
      <c r="A130" s="21" t="s">
        <v>58</v>
      </c>
      <c r="C130">
        <f>Income</f>
        <v>70000</v>
      </c>
    </row>
    <row r="131" spans="1:3" x14ac:dyDescent="0.2">
      <c r="A131" s="21" t="s">
        <v>60</v>
      </c>
      <c r="C131" s="11">
        <f>-'base data'!C38</f>
        <v>-11850</v>
      </c>
    </row>
    <row r="132" spans="1:3" x14ac:dyDescent="0.2">
      <c r="A132" s="21" t="s">
        <v>88</v>
      </c>
      <c r="C132" s="23">
        <f>-C160</f>
        <v>-472.78800000000007</v>
      </c>
    </row>
    <row r="133" spans="1:3" x14ac:dyDescent="0.2">
      <c r="A133" s="21" t="s">
        <v>59</v>
      </c>
      <c r="C133">
        <f>SUM(C130:C132)</f>
        <v>57677.212</v>
      </c>
    </row>
    <row r="134" spans="1:3" x14ac:dyDescent="0.2">
      <c r="A134" s="21" t="s">
        <v>61</v>
      </c>
      <c r="C134">
        <f>-C133*'base data'!C25</f>
        <v>-10958.67028</v>
      </c>
    </row>
    <row r="135" spans="1:3" x14ac:dyDescent="0.2">
      <c r="A135" s="21" t="s">
        <v>55</v>
      </c>
      <c r="C135">
        <f>SUM(C133:C134)</f>
        <v>46718.541720000001</v>
      </c>
    </row>
    <row r="136" spans="1:3" x14ac:dyDescent="0.2">
      <c r="A136" s="21"/>
    </row>
    <row r="137" spans="1:3" x14ac:dyDescent="0.2">
      <c r="A137" s="21" t="s">
        <v>56</v>
      </c>
      <c r="C137" s="22">
        <f>C135*'base data'!C17</f>
        <v>46718.541720000001</v>
      </c>
    </row>
    <row r="138" spans="1:3" x14ac:dyDescent="0.2">
      <c r="A138" s="21" t="s">
        <v>64</v>
      </c>
      <c r="B138" s="19"/>
      <c r="C138" s="22">
        <f>-C131</f>
        <v>11850</v>
      </c>
    </row>
    <row r="139" spans="1:3" x14ac:dyDescent="0.2">
      <c r="A139" s="21" t="s">
        <v>85</v>
      </c>
      <c r="B139" s="19"/>
      <c r="C139" s="24">
        <f>SUM(C137:C138)</f>
        <v>58568.541720000001</v>
      </c>
    </row>
    <row r="140" spans="1:3" x14ac:dyDescent="0.2">
      <c r="A140" s="21" t="s">
        <v>46</v>
      </c>
      <c r="C140" s="11">
        <f>-'base data'!C38</f>
        <v>-11850</v>
      </c>
    </row>
    <row r="141" spans="1:3" x14ac:dyDescent="0.2">
      <c r="A141" s="6" t="s">
        <v>83</v>
      </c>
      <c r="C141" s="11">
        <f>IF(C139&gt;'base data'!C$40,MIN(('calculation sheet'!C139-'base data'!C$40)*'base data'!C39,-'calculation sheet'!C140),0)</f>
        <v>0</v>
      </c>
    </row>
    <row r="142" spans="1:3" x14ac:dyDescent="0.2">
      <c r="A142" s="21" t="s">
        <v>47</v>
      </c>
      <c r="C142" s="11">
        <f>SUM(C139:C141)</f>
        <v>46718.541720000001</v>
      </c>
    </row>
    <row r="143" spans="1:3" x14ac:dyDescent="0.2">
      <c r="A143" s="21"/>
    </row>
    <row r="144" spans="1:3" x14ac:dyDescent="0.2">
      <c r="A144" s="21" t="s">
        <v>84</v>
      </c>
    </row>
    <row r="145" spans="1:3" x14ac:dyDescent="0.2">
      <c r="A145" s="21" t="s">
        <v>35</v>
      </c>
      <c r="C145" s="11">
        <f>MAX(C138+C140+C141,0)</f>
        <v>0</v>
      </c>
    </row>
    <row r="146" spans="1:3" x14ac:dyDescent="0.2">
      <c r="A146" s="21" t="s">
        <v>105</v>
      </c>
      <c r="C146">
        <f>IF(C142&gt;'base data'!C48,'base data'!C48-C145,'calculation sheet'!C142)</f>
        <v>34500</v>
      </c>
    </row>
    <row r="147" spans="1:3" x14ac:dyDescent="0.2">
      <c r="A147" s="21" t="s">
        <v>36</v>
      </c>
      <c r="C147" s="11">
        <f>C142-C145-C146-C148</f>
        <v>12218.541720000001</v>
      </c>
    </row>
    <row r="148" spans="1:3" x14ac:dyDescent="0.2">
      <c r="A148" s="25" t="s">
        <v>98</v>
      </c>
      <c r="C148">
        <f>IF(C142&gt;'base data'!C49,'calculation sheet'!C142-'base data'!C48,0)</f>
        <v>0</v>
      </c>
    </row>
    <row r="149" spans="1:3" x14ac:dyDescent="0.2">
      <c r="A149" s="21"/>
    </row>
    <row r="150" spans="1:3" x14ac:dyDescent="0.2">
      <c r="A150" s="21" t="s">
        <v>35</v>
      </c>
      <c r="C150" s="26">
        <f>C145*'base data'!C11</f>
        <v>0</v>
      </c>
    </row>
    <row r="151" spans="1:3" x14ac:dyDescent="0.2">
      <c r="A151" s="21" t="s">
        <v>105</v>
      </c>
      <c r="C151" s="26">
        <f>(C146-'base data'!C50)*'base data'!C14</f>
        <v>2437.5</v>
      </c>
    </row>
    <row r="152" spans="1:3" x14ac:dyDescent="0.2">
      <c r="A152" s="21" t="s">
        <v>36</v>
      </c>
      <c r="C152" s="26">
        <f>C147*'base data'!C15</f>
        <v>3971.0260590000003</v>
      </c>
    </row>
    <row r="153" spans="1:3" x14ac:dyDescent="0.2">
      <c r="A153" s="21" t="s">
        <v>98</v>
      </c>
      <c r="C153" s="26">
        <f>C148*'base data'!C16</f>
        <v>0</v>
      </c>
    </row>
    <row r="154" spans="1:3" x14ac:dyDescent="0.2">
      <c r="A154" s="21"/>
      <c r="C154" s="26"/>
    </row>
    <row r="155" spans="1:3" x14ac:dyDescent="0.2">
      <c r="A155" s="21"/>
    </row>
    <row r="156" spans="1:3" x14ac:dyDescent="0.2">
      <c r="A156" s="21" t="s">
        <v>64</v>
      </c>
      <c r="C156" s="11">
        <f>-C131</f>
        <v>11850</v>
      </c>
    </row>
    <row r="157" spans="1:3" x14ac:dyDescent="0.2">
      <c r="A157" s="21" t="s">
        <v>62</v>
      </c>
      <c r="C157" s="11">
        <f>-'base data'!C55</f>
        <v>-8424</v>
      </c>
    </row>
    <row r="158" spans="1:3" x14ac:dyDescent="0.2">
      <c r="A158" s="21" t="s">
        <v>49</v>
      </c>
      <c r="C158">
        <f>SUM(C156:C157)</f>
        <v>3426</v>
      </c>
    </row>
    <row r="159" spans="1:3" x14ac:dyDescent="0.2">
      <c r="A159" s="21"/>
    </row>
    <row r="160" spans="1:3" x14ac:dyDescent="0.2">
      <c r="A160" s="21" t="s">
        <v>63</v>
      </c>
      <c r="C160">
        <f>IF(C158&gt;0,C158*'base data'!C32-'base data'!C36,0)</f>
        <v>472.78800000000007</v>
      </c>
    </row>
    <row r="161" spans="1:3" x14ac:dyDescent="0.2">
      <c r="A161" s="21"/>
    </row>
    <row r="162" spans="1:3" x14ac:dyDescent="0.2">
      <c r="A162" s="21" t="s">
        <v>64</v>
      </c>
      <c r="C162" s="11">
        <f>C156</f>
        <v>11850</v>
      </c>
    </row>
    <row r="163" spans="1:3" x14ac:dyDescent="0.2">
      <c r="A163" s="21" t="s">
        <v>62</v>
      </c>
      <c r="C163" s="11">
        <f>-'base data'!C53</f>
        <v>-8424</v>
      </c>
    </row>
    <row r="164" spans="1:3" x14ac:dyDescent="0.2">
      <c r="A164" s="21" t="s">
        <v>49</v>
      </c>
      <c r="C164" s="11">
        <f>SUM(C162:C163)</f>
        <v>3426</v>
      </c>
    </row>
    <row r="165" spans="1:3" x14ac:dyDescent="0.2">
      <c r="A165" s="21"/>
      <c r="C165" s="11"/>
    </row>
    <row r="166" spans="1:3" x14ac:dyDescent="0.2">
      <c r="A166" s="21" t="s">
        <v>65</v>
      </c>
      <c r="C166">
        <f>IF(C164&gt;0,C164*'base data'!C30,0)</f>
        <v>411.12</v>
      </c>
    </row>
  </sheetData>
  <sheetProtection selectLockedCells="1" selectUnlockedCells="1"/>
  <phoneticPr fontId="5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2"/>
  <sheetViews>
    <sheetView topLeftCell="A25" workbookViewId="0">
      <selection activeCell="C32" sqref="C32"/>
    </sheetView>
  </sheetViews>
  <sheetFormatPr defaultRowHeight="12.75" x14ac:dyDescent="0.2"/>
  <cols>
    <col min="1" max="1" width="35.140625" customWidth="1"/>
    <col min="2" max="2" width="4.42578125" customWidth="1"/>
  </cols>
  <sheetData>
    <row r="1" spans="1:3" ht="18" x14ac:dyDescent="0.25">
      <c r="A1" s="2" t="s">
        <v>0</v>
      </c>
    </row>
    <row r="5" spans="1:3" ht="15.75" x14ac:dyDescent="0.25">
      <c r="A5" s="3" t="s">
        <v>13</v>
      </c>
    </row>
    <row r="6" spans="1:3" x14ac:dyDescent="0.2">
      <c r="A6" s="1"/>
    </row>
    <row r="7" spans="1:3" x14ac:dyDescent="0.2">
      <c r="A7" s="1"/>
      <c r="C7" s="33" t="str">
        <f>'tax split'!C9</f>
        <v>2018-19</v>
      </c>
    </row>
    <row r="9" spans="1:3" x14ac:dyDescent="0.2">
      <c r="A9" s="1" t="s">
        <v>14</v>
      </c>
    </row>
    <row r="10" spans="1:3" x14ac:dyDescent="0.2">
      <c r="A10" s="6" t="s">
        <v>15</v>
      </c>
      <c r="C10" s="8">
        <v>0</v>
      </c>
    </row>
    <row r="11" spans="1:3" x14ac:dyDescent="0.2">
      <c r="A11" s="6" t="s">
        <v>16</v>
      </c>
      <c r="C11" s="8">
        <v>0.2</v>
      </c>
    </row>
    <row r="12" spans="1:3" x14ac:dyDescent="0.2">
      <c r="A12" s="6" t="s">
        <v>17</v>
      </c>
      <c r="C12" s="8">
        <v>0.4</v>
      </c>
    </row>
    <row r="13" spans="1:3" x14ac:dyDescent="0.2">
      <c r="A13" s="6" t="s">
        <v>90</v>
      </c>
      <c r="C13" s="8">
        <v>0.45</v>
      </c>
    </row>
    <row r="14" spans="1:3" x14ac:dyDescent="0.2">
      <c r="A14" s="6" t="s">
        <v>102</v>
      </c>
      <c r="C14" s="9">
        <v>7.4999999999999997E-2</v>
      </c>
    </row>
    <row r="15" spans="1:3" x14ac:dyDescent="0.2">
      <c r="A15" s="6" t="s">
        <v>18</v>
      </c>
      <c r="C15" s="9">
        <v>0.32500000000000001</v>
      </c>
    </row>
    <row r="16" spans="1:3" x14ac:dyDescent="0.2">
      <c r="A16" s="6" t="s">
        <v>91</v>
      </c>
      <c r="C16" s="9">
        <v>0.38100000000000001</v>
      </c>
    </row>
    <row r="17" spans="1:3" x14ac:dyDescent="0.2">
      <c r="A17" s="6" t="s">
        <v>43</v>
      </c>
      <c r="C17" s="12">
        <v>1</v>
      </c>
    </row>
    <row r="18" spans="1:3" x14ac:dyDescent="0.2">
      <c r="A18" s="6"/>
      <c r="C18" s="9"/>
    </row>
    <row r="19" spans="1:3" x14ac:dyDescent="0.2">
      <c r="A19" s="1" t="s">
        <v>38</v>
      </c>
      <c r="C19" s="9"/>
    </row>
    <row r="20" spans="1:3" x14ac:dyDescent="0.2">
      <c r="A20" s="6" t="s">
        <v>39</v>
      </c>
      <c r="C20" s="11">
        <v>0</v>
      </c>
    </row>
    <row r="21" spans="1:3" x14ac:dyDescent="0.2">
      <c r="A21" s="6" t="s">
        <v>40</v>
      </c>
      <c r="C21" s="11">
        <v>6900</v>
      </c>
    </row>
    <row r="22" spans="1:3" x14ac:dyDescent="0.2">
      <c r="A22" s="6" t="s">
        <v>82</v>
      </c>
      <c r="C22" s="11">
        <v>46200</v>
      </c>
    </row>
    <row r="24" spans="1:3" x14ac:dyDescent="0.2">
      <c r="A24" s="1" t="s">
        <v>19</v>
      </c>
    </row>
    <row r="25" spans="1:3" x14ac:dyDescent="0.2">
      <c r="A25" t="s">
        <v>20</v>
      </c>
      <c r="C25" s="8">
        <v>0.19</v>
      </c>
    </row>
    <row r="26" spans="1:3" x14ac:dyDescent="0.2">
      <c r="C26" s="8"/>
    </row>
    <row r="27" spans="1:3" x14ac:dyDescent="0.2">
      <c r="A27" s="1" t="s">
        <v>42</v>
      </c>
      <c r="C27" s="11"/>
    </row>
    <row r="29" spans="1:3" x14ac:dyDescent="0.2">
      <c r="A29" s="7" t="s">
        <v>21</v>
      </c>
    </row>
    <row r="30" spans="1:3" x14ac:dyDescent="0.2">
      <c r="A30" t="s">
        <v>22</v>
      </c>
      <c r="C30" s="9">
        <v>0.12</v>
      </c>
    </row>
    <row r="31" spans="1:3" x14ac:dyDescent="0.2">
      <c r="A31" t="s">
        <v>23</v>
      </c>
      <c r="C31" s="9">
        <v>0.02</v>
      </c>
    </row>
    <row r="32" spans="1:3" x14ac:dyDescent="0.2">
      <c r="A32" t="s">
        <v>24</v>
      </c>
      <c r="C32" s="9">
        <v>0.13800000000000001</v>
      </c>
    </row>
    <row r="33" spans="1:3" x14ac:dyDescent="0.2">
      <c r="A33" t="s">
        <v>25</v>
      </c>
      <c r="C33" s="10">
        <v>2.95</v>
      </c>
    </row>
    <row r="34" spans="1:3" x14ac:dyDescent="0.2">
      <c r="A34" t="s">
        <v>26</v>
      </c>
      <c r="C34" s="9">
        <v>0.09</v>
      </c>
    </row>
    <row r="35" spans="1:3" x14ac:dyDescent="0.2">
      <c r="A35" t="s">
        <v>75</v>
      </c>
      <c r="C35" s="9">
        <v>0.02</v>
      </c>
    </row>
    <row r="36" spans="1:3" x14ac:dyDescent="0.2">
      <c r="A36" s="6" t="s">
        <v>107</v>
      </c>
      <c r="C36" s="36">
        <v>0</v>
      </c>
    </row>
    <row r="37" spans="1:3" x14ac:dyDescent="0.2">
      <c r="C37" s="9"/>
    </row>
    <row r="38" spans="1:3" x14ac:dyDescent="0.2">
      <c r="A38" s="1" t="s">
        <v>28</v>
      </c>
      <c r="C38" s="11">
        <v>11850</v>
      </c>
    </row>
    <row r="39" spans="1:3" x14ac:dyDescent="0.2">
      <c r="A39" s="6" t="s">
        <v>81</v>
      </c>
      <c r="C39" s="8">
        <v>0.5</v>
      </c>
    </row>
    <row r="40" spans="1:3" x14ac:dyDescent="0.2">
      <c r="A40" s="6" t="s">
        <v>78</v>
      </c>
      <c r="C40" s="11">
        <v>100000</v>
      </c>
    </row>
    <row r="41" spans="1:3" x14ac:dyDescent="0.2">
      <c r="A41" s="6" t="s">
        <v>76</v>
      </c>
      <c r="C41" s="11"/>
    </row>
    <row r="42" spans="1:3" x14ac:dyDescent="0.2">
      <c r="A42" s="6" t="s">
        <v>77</v>
      </c>
      <c r="C42" s="8"/>
    </row>
    <row r="43" spans="1:3" x14ac:dyDescent="0.2">
      <c r="A43" s="6" t="s">
        <v>78</v>
      </c>
      <c r="C43" s="11"/>
    </row>
    <row r="44" spans="1:3" x14ac:dyDescent="0.2">
      <c r="A44" s="6" t="s">
        <v>76</v>
      </c>
      <c r="C44" s="11"/>
    </row>
    <row r="45" spans="1:3" x14ac:dyDescent="0.2">
      <c r="C45" s="9"/>
    </row>
    <row r="46" spans="1:3" x14ac:dyDescent="0.2">
      <c r="A46" s="7" t="s">
        <v>27</v>
      </c>
    </row>
    <row r="47" spans="1:3" x14ac:dyDescent="0.2">
      <c r="A47" s="6" t="s">
        <v>15</v>
      </c>
      <c r="C47">
        <v>0</v>
      </c>
    </row>
    <row r="48" spans="1:3" x14ac:dyDescent="0.2">
      <c r="A48" s="6" t="s">
        <v>16</v>
      </c>
      <c r="C48">
        <v>34500</v>
      </c>
    </row>
    <row r="49" spans="1:3" x14ac:dyDescent="0.2">
      <c r="A49" s="6" t="s">
        <v>90</v>
      </c>
      <c r="C49">
        <v>150000</v>
      </c>
    </row>
    <row r="50" spans="1:3" x14ac:dyDescent="0.2">
      <c r="A50" s="35" t="s">
        <v>103</v>
      </c>
      <c r="C50">
        <v>2000</v>
      </c>
    </row>
    <row r="52" spans="1:3" x14ac:dyDescent="0.2">
      <c r="A52" s="7" t="s">
        <v>29</v>
      </c>
    </row>
    <row r="53" spans="1:3" x14ac:dyDescent="0.2">
      <c r="A53" t="s">
        <v>30</v>
      </c>
      <c r="C53" s="11">
        <v>8424</v>
      </c>
    </row>
    <row r="54" spans="1:3" x14ac:dyDescent="0.2">
      <c r="A54" t="s">
        <v>31</v>
      </c>
      <c r="C54" s="11">
        <v>46350</v>
      </c>
    </row>
    <row r="55" spans="1:3" x14ac:dyDescent="0.2">
      <c r="A55" t="s">
        <v>32</v>
      </c>
      <c r="C55" s="11">
        <v>8424</v>
      </c>
    </row>
    <row r="56" spans="1:3" x14ac:dyDescent="0.2">
      <c r="A56" t="s">
        <v>33</v>
      </c>
      <c r="C56" s="11">
        <v>8424</v>
      </c>
    </row>
    <row r="57" spans="1:3" x14ac:dyDescent="0.2">
      <c r="A57" t="s">
        <v>34</v>
      </c>
      <c r="C57" s="11">
        <v>46350</v>
      </c>
    </row>
    <row r="59" spans="1:3" x14ac:dyDescent="0.2">
      <c r="A59" t="s">
        <v>67</v>
      </c>
      <c r="C59">
        <f>(C54-C53)*C30</f>
        <v>4551.12</v>
      </c>
    </row>
    <row r="60" spans="1:3" x14ac:dyDescent="0.2">
      <c r="A60" t="s">
        <v>68</v>
      </c>
      <c r="C60">
        <f>(C54-C55)*C32</f>
        <v>5233.7880000000005</v>
      </c>
    </row>
    <row r="62" spans="1:3" x14ac:dyDescent="0.2">
      <c r="A62" s="6" t="s">
        <v>95</v>
      </c>
      <c r="C62">
        <f>(C57-C56)*C34</f>
        <v>3413.3399999999997</v>
      </c>
    </row>
  </sheetData>
  <sheetProtection selectLockedCells="1" selectUnlockedCells="1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tax split</vt:lpstr>
      <vt:lpstr>calculation sheet</vt:lpstr>
      <vt:lpstr>base data</vt:lpstr>
      <vt:lpstr>Income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Liz.Chapman</cp:lastModifiedBy>
  <dcterms:created xsi:type="dcterms:W3CDTF">2008-04-25T11:01:00Z</dcterms:created>
  <dcterms:modified xsi:type="dcterms:W3CDTF">2018-05-07T17:46:11Z</dcterms:modified>
</cp:coreProperties>
</file>